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naltrece-my.sharepoint.com/personal/ylatorre_canaltrece_com_co/Documents/Control Interno/AAINFORMES/eKOGUI/2021/pimer semestre/"/>
    </mc:Choice>
  </mc:AlternateContent>
  <xr:revisionPtr revIDLastSave="23" documentId="8_{51514ADC-D9C1-4394-99B8-AA5444C68479}" xr6:coauthVersionLast="47" xr6:coauthVersionMax="47" xr10:uidLastSave="{9BFB4814-9252-429E-BC06-009EF4A123B1}"/>
  <bookViews>
    <workbookView xWindow="-120" yWindow="-120" windowWidth="20730" windowHeight="11160" firstSheet="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definedNames>
    <definedName name="_xlnm.Print_Area" localSheetId="2">ABOGADOS!$A$1:$H$25</definedName>
    <definedName name="_xlnm.Print_Area" localSheetId="5">ARBITRAMENTOS!$A$1:$H$17</definedName>
    <definedName name="_xlnm.Print_Area" localSheetId="3">JUDICIALES!$A$1:$I$34</definedName>
    <definedName name="_xlnm.Print_Area" localSheetId="6">PAGOS!$A$1:$H$11</definedName>
    <definedName name="_xlnm.Print_Area" localSheetId="4">PREJUDICIALES!$A$1:$H$23</definedName>
    <definedName name="_xlnm.Print_Area" localSheetId="7">'Resumen general'!$A$1:$G$26</definedName>
    <definedName name="_xlnm.Print_Area" localSheetId="1">USUARIOS!$A$1:$G$19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<sst xmlns="http://schemas.openxmlformats.org/spreadsheetml/2006/main" count="260" uniqueCount="164">
  <si>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</si>
  <si>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</si>
  <si>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</si>
  <si>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USUARIOS ACTIVOS</t>
  </si>
  <si>
    <t>Si</t>
  </si>
  <si>
    <t>No</t>
  </si>
  <si>
    <t>Escriba la fecha de generación del reporte</t>
  </si>
  <si>
    <t>N/A</t>
  </si>
  <si>
    <t>ROL</t>
  </si>
  <si>
    <t>TIENE EL ROL</t>
  </si>
  <si>
    <t>FECHA CREACIÓN  EN EKOGUI</t>
  </si>
  <si>
    <t>NOMBRE</t>
  </si>
  <si>
    <t>FECHA ÚLTIMA CAPACITACIÓN</t>
  </si>
  <si>
    <t>ACTUALIZADO</t>
  </si>
  <si>
    <t>JEFE FINANCIERO</t>
  </si>
  <si>
    <t>GUSTAVO DELGADO</t>
  </si>
  <si>
    <t>JEFE JURÍDICO</t>
  </si>
  <si>
    <t>MARIA FERNANDA CARRILLO MENDEZ</t>
  </si>
  <si>
    <t>ENLACE DE PAGOS</t>
  </si>
  <si>
    <t>JEFE CONTROL INTERNO</t>
  </si>
  <si>
    <t>YENIFFER LATORRE CASAS</t>
  </si>
  <si>
    <t>SECRETARIO TÉCNICO</t>
  </si>
  <si>
    <t>ADMINISTRADOR DE LA ENTIDAD</t>
  </si>
  <si>
    <t>Observaciones</t>
  </si>
  <si>
    <t>La administradora de la entidad manifesta que por parte de la ANDJE no se han ofrecido capacitaciones dirigidas al perfil de jefe financiero, por lo cual no se presenta certificación.</t>
  </si>
  <si>
    <t>Indique la fecha en la que genera el reporte</t>
  </si>
  <si>
    <t>Abogados al 30 de junio de 2021</t>
  </si>
  <si>
    <t>INFORMACIÓN (1)</t>
  </si>
  <si>
    <t>CANTIDAD DE ABOGADOS</t>
  </si>
  <si>
    <t>ABOGADOS ACTIVOS AL 30-06-2021</t>
  </si>
  <si>
    <t>CANTIDAD</t>
  </si>
  <si>
    <t>Tiene información estudios</t>
  </si>
  <si>
    <t>CANTIDAD DE ABOGADOS LITIGANDO</t>
  </si>
  <si>
    <t>Tienen información experiencia</t>
  </si>
  <si>
    <t>ABOGADOS CREADOS EN EKOGUI ACTIVOS</t>
  </si>
  <si>
    <t>Tienen Información laboral</t>
  </si>
  <si>
    <t>ABOGADOS CON CORREO ACTUALIZADO</t>
  </si>
  <si>
    <t>(1) Se visualiza en el detalle del abogado a la fecha de revisión</t>
  </si>
  <si>
    <t>ABOGADOS CON PROCESOS ACTIVOS</t>
  </si>
  <si>
    <t>Solamente se revisa que tenga registrada alguna información registrada</t>
  </si>
  <si>
    <t>ABOGADOS INACTIVOS</t>
  </si>
  <si>
    <t>ÚLTIMA CAPACITACIÓN ABOGADOS ACTIVOS</t>
  </si>
  <si>
    <t>RETIRADOS EN LA ENTIDAD PRIMER SEMESTRE 2021</t>
  </si>
  <si>
    <t>Posteriores al 01-01-2020</t>
  </si>
  <si>
    <t>INACTIVADOS EN EKOGUI PRIMER SEMESTRE 2021</t>
  </si>
  <si>
    <t>Entre 21-03-2019 y 31-12-2019</t>
  </si>
  <si>
    <t>Capacitaciones anteriores al 21-03-2019</t>
  </si>
  <si>
    <t>Observaciones:</t>
  </si>
  <si>
    <t>Sin capacitación</t>
  </si>
  <si>
    <t>Procesos Judiciales</t>
  </si>
  <si>
    <t>Fecha de diligenciamiento de plantilla</t>
  </si>
  <si>
    <t>MAYORES A 33.000 SMMLV(4) ACTIVOS</t>
  </si>
  <si>
    <t xml:space="preserve">CANTIDAD </t>
  </si>
  <si>
    <t>Cantidad de procesos de más de 33.000 SMMLV</t>
  </si>
  <si>
    <t>PROCESOS ACTIVOS AL 30 DE JUNIO DE 2021</t>
  </si>
  <si>
    <t>Procesos de más de 33.000 SMMLV registrados en eKOGUI</t>
  </si>
  <si>
    <t>CANTIDAD DE PROCESOS ACTIVOS</t>
  </si>
  <si>
    <t>Procesos de más de 33.000 SMMLV con la pieza demanda(5)</t>
  </si>
  <si>
    <t>PROCESOS ACTIVOS REGISTRADOS EN EKOGUI</t>
  </si>
  <si>
    <t>(4)Equivalente a un valor indexado de $29.981 millones</t>
  </si>
  <si>
    <t>PROCESOS SIN ABOGADO ASIGNADO(1)</t>
  </si>
  <si>
    <t>(5) Puede ser remitida a la ANDJE o cargada en el sistema</t>
  </si>
  <si>
    <t>(1) Con fecha de registro anterior al 15-06-2021</t>
  </si>
  <si>
    <t>CALIFICACIÓN DE RIESGO</t>
  </si>
  <si>
    <t>PROCESOS TERMINADOS PRIMER SEMESTRE 2021</t>
  </si>
  <si>
    <t>PROCESOS ACTIVOS EN CALIDAD DEMANDADO AL 30-06-2021</t>
  </si>
  <si>
    <t>PROCESOS TERMINADOS DURANTE PRIMER SEMESTRE 2021</t>
  </si>
  <si>
    <t>PROCESOS CON CALIFICACIÓN PRIMER SEMESTRE 2021</t>
  </si>
  <si>
    <t>TERMINADOS EN EKOGUI DURANTE PRIMER SEMESTRE 2021 (2)</t>
  </si>
  <si>
    <t>PROCESOS CON CALIFICACIÓN ANTERIOR A 31-12-2020</t>
  </si>
  <si>
    <t>(2) Con fecha de actuación en 2021</t>
  </si>
  <si>
    <t>PROCESOS SIN CALIFICACIÓN</t>
  </si>
  <si>
    <t>ACTUALIZACIÓN</t>
  </si>
  <si>
    <t>PROVISIÓN CONTABLE (6)</t>
  </si>
  <si>
    <t>PROCESOS</t>
  </si>
  <si>
    <t>CON PROVISIÓN IGUAL A CERO</t>
  </si>
  <si>
    <t>PROCESO TERMINADOS AL 30 DE JUNIO 2021</t>
  </si>
  <si>
    <t>PROBABILIDAD DE PERDER EL CASO ALTA</t>
  </si>
  <si>
    <t>PROCESOS ACTIVOS CON ESTADO TERMINADO(3)</t>
  </si>
  <si>
    <t>PROBABILIDAD DE PERDER EL CASO MEDIA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</si>
  <si>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</si>
  <si>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PROBABILIDAD DE PERDER EL CASO BAJA</t>
  </si>
  <si>
    <t>PROBABILIDAD DE PERDER EL CASO REMOTA</t>
  </si>
  <si>
    <t>(6) Solo se consideran los procesos activos - calidad demandado al 30 de junio de 2021 que tengan calificación de riesgo</t>
  </si>
  <si>
    <t>CONDENAS</t>
  </si>
  <si>
    <t>OBSERVACIONES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</si>
  <si>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</si>
  <si>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</si>
  <si>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</si>
  <si>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</si>
  <si>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</si>
  <si>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Prejudiciales</t>
  </si>
  <si>
    <t>PREJUDICIALES ACTIVOS AL 30-06-2021</t>
  </si>
  <si>
    <t>TOTAL PREJUDICIALES ACTIVOS</t>
  </si>
  <si>
    <t>TOTAL PREJUDICIALES ACTIVOS EN EKOGUI</t>
  </si>
  <si>
    <t>CANTIDAD PREJUDICIALES</t>
  </si>
  <si>
    <t>REGISTRO POSTERIOR AL 01/01/2021</t>
  </si>
  <si>
    <t>Procesos que efectivamente se encuentran activos</t>
  </si>
  <si>
    <t>REGISTRO ENTRE 1 DE ENERO Y 31 DE DICIEMBRE 2020</t>
  </si>
  <si>
    <t>Proceso que se encuentran terminados</t>
  </si>
  <si>
    <t>REGISTRO EN 2019 Y ANTERIORES</t>
  </si>
  <si>
    <t>PREJUDICIALES TERMINADOS SEGUNDO SEMESTRE 2020</t>
  </si>
  <si>
    <t>TOTAL PREJUDICIALES TERMINADOS I SEM. 2021</t>
  </si>
  <si>
    <t>TERMINADOS ÚLTIMA ACTUACIÓN I SEM. 2021</t>
  </si>
  <si>
    <t>ARBITRAMENTOS</t>
  </si>
  <si>
    <t>ARBITRAMENTOS ACTIVOS AL 30-06-2021</t>
  </si>
  <si>
    <t>TOTAL ARBITRAMENTOS TERMINADOS  AL 30-06-2021</t>
  </si>
  <si>
    <t>ARBITRAMENTOS REGISTRADOS EN EKOGUI</t>
  </si>
  <si>
    <t>ARBITRAMENTOS TERMINADOS EN EKOGUI</t>
  </si>
  <si>
    <t>Pagos</t>
  </si>
  <si>
    <t>PROCESOS ACTIVOS</t>
  </si>
  <si>
    <t>Gestiona pagos en SIIF de MinHacienda</t>
  </si>
  <si>
    <t>Pagos enlazados al 30-06-2021</t>
  </si>
  <si>
    <t>Plantilla de certificado de Control Interno</t>
  </si>
  <si>
    <t>ENTIDAD</t>
  </si>
  <si>
    <t>CANAL  REGIONAL TEVEANDINA LTDA. - CANAL TRECE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</si>
  <si>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</si>
  <si>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</si>
  <si>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</si>
  <si>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</si>
  <si>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</si>
  <si>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</si>
  <si>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</si>
  <si>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No Aplica</t>
  </si>
  <si>
    <t>Actualización prejudiciales</t>
  </si>
  <si>
    <t>Nivel de capacitación</t>
  </si>
  <si>
    <t>JUDICIALES</t>
  </si>
  <si>
    <t>Procesos arbitrales</t>
  </si>
  <si>
    <t>Procesos activos</t>
  </si>
  <si>
    <t>Actualización más de 33.000 SMMLV</t>
  </si>
  <si>
    <t>PAGOS</t>
  </si>
  <si>
    <t>Procesos por abogado</t>
  </si>
  <si>
    <t>Pagos relacionados</t>
  </si>
  <si>
    <t>Provisión incorrecta</t>
  </si>
  <si>
    <t>Uso del módulo pagos</t>
  </si>
  <si>
    <t>NOMBRE JEFE CONTROL INTERNO</t>
  </si>
  <si>
    <t>RETIRADOS EN LA ENTIDAD PRIMER SEMESTRE 2020</t>
  </si>
  <si>
    <t>INACTIVADOS EN EKOGUI PRIMER SEMESTRE 2020</t>
  </si>
  <si>
    <t>PROCESOS SIN ABOGADO ASIGNADO</t>
  </si>
  <si>
    <t>PROCESOS TERMINADOS EN 2020</t>
  </si>
  <si>
    <t>TERMINADOS EN EKOGUI</t>
  </si>
  <si>
    <t>PROCESO ENTIDAD TERMINADOS</t>
  </si>
  <si>
    <t>PROCESOS ACTIVOS CON ESTADO TERMINADO*</t>
  </si>
  <si>
    <t xml:space="preserve">Procesos de más de 33.000 SMMLV con la pieza demanda </t>
  </si>
  <si>
    <t>PROCESOS ACTIVOS EN CALIDAD DEMANDADO</t>
  </si>
  <si>
    <t>PROCESOS CON CALIFICACIÓN  EN 2020</t>
  </si>
  <si>
    <t>PROCESOS CON CALIFICACIÓN ANTERIOR A 2020</t>
  </si>
  <si>
    <t>REGISTRO EN 2020</t>
  </si>
  <si>
    <t>REGISTRO EN 2019</t>
  </si>
  <si>
    <t>REGISTRO EN 2018 Y ANTERIORES</t>
  </si>
  <si>
    <t>TOTAL PROCESOS TERMINADOS</t>
  </si>
  <si>
    <t>TERMINADOS ÚLTIMA ACTUACIÓN EN 2020</t>
  </si>
  <si>
    <t>ARBITRAMENTOS ACTIVOS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</si>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</sst>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view="pageBreakPreview" zoomScale="60" zoomScaleNormal="100" workbookViewId="0">
      <selection activeCell="V29" sqref="V29"/>
    </sheetView>
  </sheetViews>
  <sheetFormatPr defaultColWidth="11.42578125" defaultRowHeight="15"/>
  <sheetData>
    <row r="1" spans="2:15" ht="15.75" thickBot="1"/>
    <row r="2" spans="2: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>
      <c r="B3" s="73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2:15" ht="23.25">
      <c r="B4" s="73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2:15">
      <c r="B5" s="5"/>
      <c r="O5" s="6"/>
    </row>
    <row r="6" spans="2:15">
      <c r="B6" s="5"/>
      <c r="C6" s="76" t="s">
        <v>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"/>
    </row>
    <row r="7" spans="2:15">
      <c r="B7" s="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6"/>
    </row>
    <row r="8" spans="2:15">
      <c r="B8" s="5"/>
      <c r="O8" s="6"/>
    </row>
    <row r="9" spans="2:15">
      <c r="B9" s="5"/>
      <c r="O9" s="6"/>
    </row>
    <row r="10" spans="2:15">
      <c r="B10" s="5"/>
      <c r="O10" s="6"/>
    </row>
    <row r="11" spans="2:15">
      <c r="B11" s="5"/>
      <c r="O11" s="6"/>
    </row>
    <row r="12" spans="2:15">
      <c r="B12" s="5"/>
      <c r="O12" s="6"/>
    </row>
    <row r="13" spans="2:15">
      <c r="B13" s="5"/>
      <c r="O13" s="6"/>
    </row>
    <row r="14" spans="2:15">
      <c r="B14" s="5"/>
      <c r="O14" s="6"/>
    </row>
    <row r="15" spans="2:15">
      <c r="B15" s="5"/>
      <c r="O15" s="6"/>
    </row>
    <row r="16" spans="2:15">
      <c r="B16" s="5"/>
      <c r="O16" s="6"/>
    </row>
    <row r="17" spans="2:15">
      <c r="B17" s="5"/>
      <c r="O17" s="6"/>
    </row>
    <row r="18" spans="2:15" ht="15.75" thickBo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view="pageBreakPreview" zoomScale="60" zoomScaleNormal="100" workbookViewId="0">
      <selection activeCell="E20" sqref="E20"/>
    </sheetView>
  </sheetViews>
  <sheetFormatPr defaultColWidth="11.42578125" defaultRowHeight="1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/>
    <row r="6" spans="2:20">
      <c r="B6" s="10"/>
      <c r="C6" s="11"/>
      <c r="D6" s="11"/>
      <c r="E6" s="11"/>
      <c r="F6" s="11"/>
      <c r="G6" s="12"/>
    </row>
    <row r="7" spans="2:20" ht="21">
      <c r="B7" s="77" t="s">
        <v>3</v>
      </c>
      <c r="C7" s="78"/>
      <c r="D7" s="78"/>
      <c r="E7" s="78"/>
      <c r="F7" s="78"/>
      <c r="G7" s="79"/>
      <c r="T7" s="1" t="s">
        <v>4</v>
      </c>
    </row>
    <row r="8" spans="2:20" ht="15.75" thickBot="1">
      <c r="B8" s="13"/>
      <c r="G8" s="14"/>
      <c r="T8" s="1" t="s">
        <v>5</v>
      </c>
    </row>
    <row r="9" spans="2:20" ht="15.75" thickBot="1">
      <c r="B9" s="82" t="s">
        <v>6</v>
      </c>
      <c r="C9" s="83"/>
      <c r="D9" s="69">
        <v>44426</v>
      </c>
      <c r="G9" s="14"/>
      <c r="T9" s="1" t="s">
        <v>7</v>
      </c>
    </row>
    <row r="10" spans="2:20">
      <c r="B10" s="13"/>
      <c r="G10" s="70">
        <v>43545</v>
      </c>
    </row>
    <row r="11" spans="2:20">
      <c r="B11" s="20" t="s">
        <v>8</v>
      </c>
      <c r="C11" s="21" t="s">
        <v>9</v>
      </c>
      <c r="D11" s="22" t="s">
        <v>10</v>
      </c>
      <c r="E11" s="21" t="s">
        <v>11</v>
      </c>
      <c r="F11" s="21" t="s">
        <v>12</v>
      </c>
      <c r="G11" s="23" t="s">
        <v>13</v>
      </c>
    </row>
    <row r="12" spans="2:20">
      <c r="B12" s="19" t="s">
        <v>14</v>
      </c>
      <c r="C12" s="49" t="s">
        <v>4</v>
      </c>
      <c r="D12" s="52">
        <v>44355</v>
      </c>
      <c r="E12" s="50" t="s">
        <v>15</v>
      </c>
      <c r="F12" s="51"/>
      <c r="G12" s="48" t="str">
        <f>+IF(C12="SI",IF(F12&lt;$G$10,"DESACTUALIZADO",""),"")</f>
        <v>DESACTUALIZADO</v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>
      <c r="B13" s="19" t="s">
        <v>16</v>
      </c>
      <c r="C13" s="49" t="s">
        <v>4</v>
      </c>
      <c r="D13" s="52">
        <v>43592</v>
      </c>
      <c r="E13" s="50" t="s">
        <v>17</v>
      </c>
      <c r="F13" s="51">
        <v>44391</v>
      </c>
      <c r="G13" s="48" t="str">
        <f t="shared" ref="G13:G17" si="3">+IF(C13="SI",IF(F13&lt;$G$10,"DESACTUALIZADO",""),"")</f>
        <v/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>
      <c r="B14" s="19" t="s">
        <v>18</v>
      </c>
      <c r="C14" s="49" t="s">
        <v>7</v>
      </c>
      <c r="D14" s="52"/>
      <c r="E14" s="50"/>
      <c r="F14" s="51"/>
      <c r="G14" s="48" t="str">
        <f t="shared" si="3"/>
        <v/>
      </c>
      <c r="H14" s="36">
        <f t="shared" si="0"/>
        <v>1</v>
      </c>
      <c r="I14" s="36">
        <f t="shared" si="1"/>
        <v>0</v>
      </c>
      <c r="J14" s="36">
        <f t="shared" si="2"/>
        <v>0</v>
      </c>
      <c r="T14" s="42">
        <v>43545</v>
      </c>
    </row>
    <row r="15" spans="2:20">
      <c r="B15" s="19" t="s">
        <v>19</v>
      </c>
      <c r="C15" s="49" t="s">
        <v>4</v>
      </c>
      <c r="D15" s="52">
        <v>42580</v>
      </c>
      <c r="E15" s="50" t="s">
        <v>20</v>
      </c>
      <c r="F15" s="51">
        <v>44398</v>
      </c>
      <c r="G15" s="48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>
      <c r="B16" s="19" t="s">
        <v>21</v>
      </c>
      <c r="C16" s="49" t="s">
        <v>4</v>
      </c>
      <c r="D16" s="52">
        <v>43592</v>
      </c>
      <c r="E16" s="50" t="s">
        <v>17</v>
      </c>
      <c r="F16" s="51">
        <v>44391</v>
      </c>
      <c r="G16" s="48" t="str">
        <f t="shared" si="3"/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>
      <c r="B17" s="19" t="s">
        <v>22</v>
      </c>
      <c r="C17" s="49" t="s">
        <v>4</v>
      </c>
      <c r="D17" s="52">
        <v>43521</v>
      </c>
      <c r="E17" s="50" t="s">
        <v>17</v>
      </c>
      <c r="F17" s="51">
        <v>44391</v>
      </c>
      <c r="G17" s="48" t="str">
        <f t="shared" si="3"/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>
      <c r="B18" s="13"/>
      <c r="G18" s="14"/>
    </row>
    <row r="19" spans="2:10" ht="94.5" customHeight="1" thickBot="1">
      <c r="B19" s="62" t="s">
        <v>23</v>
      </c>
      <c r="C19" s="80" t="s">
        <v>24</v>
      </c>
      <c r="D19" s="80"/>
      <c r="E19" s="80"/>
      <c r="F19" s="80"/>
      <c r="G19" s="81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1000000}">
      <formula1>$T$7:$T$9</formula1>
    </dataValidation>
    <dataValidation type="date" allowBlank="1" showInputMessage="1" showErrorMessage="1" sqref="D9" xr:uid="{0695AC47-2643-4296-9D5B-F263ED290FA5}">
      <formula1>44378</formula1>
      <formula2>44439</formula2>
    </dataValidation>
    <dataValidation type="date" allowBlank="1" showInputMessage="1" showErrorMessage="1" sqref="D12:D17 F12:F17" xr:uid="{1D03F651-1DE0-4826-BD43-5787EEA45BD9}">
      <formula1>40544</formula1>
      <formula2>44439</formula2>
    </dataValidation>
  </dataValidations>
  <pageMargins left="0.7" right="0.7" top="0.75" bottom="0.75" header="0.3" footer="0.3"/>
  <pageSetup scale="66" orientation="landscape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view="pageBreakPreview" zoomScale="60" zoomScaleNormal="100" workbookViewId="0">
      <selection activeCell="J18" sqref="J18"/>
    </sheetView>
  </sheetViews>
  <sheetFormatPr defaultColWidth="11.42578125" defaultRowHeight="1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+IF(D12&lt;=10,D12,IF(ROUNDDOWN(D12*10%,0)&lt;10,10,ROUNDDOWN(D12*10%,0)))</f>
        <v>5</v>
      </c>
    </row>
    <row r="4" spans="2:22">
      <c r="B4" s="13"/>
      <c r="H4" s="14"/>
    </row>
    <row r="5" spans="2:22">
      <c r="B5" s="13"/>
      <c r="H5" s="14"/>
    </row>
    <row r="6" spans="2:22" ht="15" customHeight="1">
      <c r="B6" s="13"/>
      <c r="G6" s="26"/>
      <c r="H6" s="27"/>
    </row>
    <row r="7" spans="2:22" ht="17.25" customHeight="1">
      <c r="B7" s="13"/>
      <c r="C7" s="18" t="s">
        <v>25</v>
      </c>
      <c r="D7" s="52">
        <v>44426</v>
      </c>
      <c r="E7" s="24"/>
      <c r="F7" s="84" t="str">
        <f>"Seleccione una muestra de "&amp;V3&amp;" abogados activos y complete la siguiente tabla"</f>
        <v>Seleccione una muestra de 5 abogados activos y complete la siguiente tabla</v>
      </c>
      <c r="G7" s="85"/>
      <c r="H7" s="27"/>
    </row>
    <row r="8" spans="2:22">
      <c r="B8" s="13"/>
      <c r="F8" s="86"/>
      <c r="G8" s="87"/>
      <c r="H8" s="14"/>
      <c r="T8" s="1" t="s">
        <v>5</v>
      </c>
    </row>
    <row r="9" spans="2:22" ht="23.25">
      <c r="B9" s="13"/>
      <c r="C9" s="28" t="s">
        <v>26</v>
      </c>
      <c r="E9"/>
      <c r="F9" s="22" t="s">
        <v>27</v>
      </c>
      <c r="G9" s="22" t="s">
        <v>28</v>
      </c>
      <c r="H9" s="14"/>
      <c r="T9" s="1" t="s">
        <v>7</v>
      </c>
    </row>
    <row r="10" spans="2:22">
      <c r="B10" s="13"/>
      <c r="C10" s="21" t="s">
        <v>29</v>
      </c>
      <c r="D10" s="21" t="s">
        <v>30</v>
      </c>
      <c r="E10"/>
      <c r="F10" s="18" t="s">
        <v>31</v>
      </c>
      <c r="G10" s="49">
        <v>4</v>
      </c>
      <c r="H10" s="14"/>
    </row>
    <row r="11" spans="2:22">
      <c r="B11" s="13"/>
      <c r="C11" s="18" t="s">
        <v>32</v>
      </c>
      <c r="D11" s="49">
        <v>2</v>
      </c>
      <c r="E11"/>
      <c r="F11" s="18" t="s">
        <v>33</v>
      </c>
      <c r="G11" s="49">
        <v>4</v>
      </c>
      <c r="H11" s="14"/>
    </row>
    <row r="12" spans="2:22">
      <c r="B12" s="13"/>
      <c r="C12" s="18" t="s">
        <v>34</v>
      </c>
      <c r="D12" s="49">
        <v>5</v>
      </c>
      <c r="E12"/>
      <c r="F12" s="18" t="s">
        <v>35</v>
      </c>
      <c r="G12" s="49">
        <v>3</v>
      </c>
      <c r="H12" s="14"/>
    </row>
    <row r="13" spans="2:22">
      <c r="B13" s="13"/>
      <c r="C13" s="18" t="s">
        <v>36</v>
      </c>
      <c r="D13" s="49">
        <v>2</v>
      </c>
      <c r="E13"/>
      <c r="F13" s="45" t="s">
        <v>37</v>
      </c>
      <c r="G13" s="44"/>
      <c r="H13" s="14"/>
    </row>
    <row r="14" spans="2:22">
      <c r="B14" s="13"/>
      <c r="C14" s="18" t="s">
        <v>38</v>
      </c>
      <c r="D14" s="49">
        <v>5</v>
      </c>
      <c r="E14"/>
      <c r="F14" s="46" t="s">
        <v>39</v>
      </c>
      <c r="G14" s="47"/>
      <c r="H14" s="14"/>
    </row>
    <row r="15" spans="2:22">
      <c r="B15" s="13"/>
      <c r="E15"/>
      <c r="H15" s="14"/>
    </row>
    <row r="16" spans="2:22">
      <c r="B16" s="13"/>
      <c r="C16" s="21" t="s">
        <v>40</v>
      </c>
      <c r="D16" s="21" t="s">
        <v>30</v>
      </c>
      <c r="E16"/>
      <c r="F16" s="22" t="s">
        <v>41</v>
      </c>
      <c r="G16" s="22" t="s">
        <v>28</v>
      </c>
      <c r="H16" s="14"/>
    </row>
    <row r="17" spans="2:8">
      <c r="B17" s="13"/>
      <c r="C17" s="18" t="s">
        <v>42</v>
      </c>
      <c r="D17" s="49">
        <v>0</v>
      </c>
      <c r="E17"/>
      <c r="F17" s="18" t="s">
        <v>43</v>
      </c>
      <c r="G17" s="49">
        <v>2</v>
      </c>
      <c r="H17" s="14"/>
    </row>
    <row r="18" spans="2:8">
      <c r="B18" s="13"/>
      <c r="C18" s="18" t="s">
        <v>44</v>
      </c>
      <c r="D18" s="49">
        <v>0</v>
      </c>
      <c r="E18"/>
      <c r="F18" s="37" t="s">
        <v>45</v>
      </c>
      <c r="G18" s="49">
        <v>0</v>
      </c>
      <c r="H18" s="14"/>
    </row>
    <row r="19" spans="2:8">
      <c r="B19" s="13"/>
      <c r="C19" s="56"/>
      <c r="E19"/>
      <c r="F19" s="18" t="s">
        <v>46</v>
      </c>
      <c r="G19" s="49">
        <v>0</v>
      </c>
      <c r="H19" s="14"/>
    </row>
    <row r="20" spans="2:8" ht="15.75" thickBot="1">
      <c r="B20" s="13"/>
      <c r="C20" s="56" t="s">
        <v>47</v>
      </c>
      <c r="D20" s="53"/>
      <c r="E20"/>
      <c r="F20" s="63" t="s">
        <v>48</v>
      </c>
      <c r="G20" s="64">
        <v>0</v>
      </c>
      <c r="H20" s="14"/>
    </row>
    <row r="21" spans="2:8">
      <c r="B21" s="13"/>
      <c r="C21" s="88"/>
      <c r="D21" s="89"/>
      <c r="E21" s="89"/>
      <c r="F21" s="89"/>
      <c r="G21" s="90"/>
      <c r="H21" s="14"/>
    </row>
    <row r="22" spans="2:8">
      <c r="B22" s="13"/>
      <c r="C22" s="91"/>
      <c r="D22" s="92"/>
      <c r="E22" s="92"/>
      <c r="F22" s="92"/>
      <c r="G22" s="93"/>
      <c r="H22" s="14"/>
    </row>
    <row r="23" spans="2:8">
      <c r="B23" s="13"/>
      <c r="C23" s="91"/>
      <c r="D23" s="92"/>
      <c r="E23" s="92"/>
      <c r="F23" s="92"/>
      <c r="G23" s="93"/>
      <c r="H23" s="14"/>
    </row>
    <row r="24" spans="2:8" ht="15.75" thickBot="1">
      <c r="B24" s="13"/>
      <c r="C24" s="94"/>
      <c r="D24" s="95"/>
      <c r="E24" s="95"/>
      <c r="F24" s="95"/>
      <c r="G24" s="96"/>
      <c r="H24" s="14"/>
    </row>
    <row r="25" spans="2:8" ht="15.75" thickBot="1">
      <c r="B25" s="15"/>
      <c r="C25" s="16"/>
      <c r="D25" s="16"/>
      <c r="E25" s="16"/>
      <c r="F25" s="16"/>
      <c r="G25" s="16"/>
      <c r="H25" s="17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scale="74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view="pageBreakPreview" topLeftCell="A21" zoomScale="60" zoomScaleNormal="98" workbookViewId="0">
      <selection activeCell="F28" sqref="F28:H33"/>
    </sheetView>
  </sheetViews>
  <sheetFormatPr defaultColWidth="11.42578125" defaultRowHeight="1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/>
    <row r="2" spans="2:23" ht="9" customHeight="1">
      <c r="B2" s="10"/>
      <c r="C2" s="11"/>
      <c r="D2" s="11"/>
      <c r="E2" s="11"/>
      <c r="F2" s="11"/>
      <c r="G2" s="11"/>
      <c r="H2" s="11"/>
      <c r="I2" s="12"/>
    </row>
    <row r="3" spans="2:23">
      <c r="B3" s="13"/>
      <c r="I3" s="14"/>
      <c r="W3" s="25">
        <f>+IF(D17&lt;=10,D17,IF(ROUNDDOWN(D17*10%,0)&lt;10,10,ROUNDDOWN(D17*10%,0)))</f>
        <v>0</v>
      </c>
    </row>
    <row r="4" spans="2:23">
      <c r="B4" s="13"/>
      <c r="I4" s="14"/>
    </row>
    <row r="5" spans="2:23" ht="9" customHeight="1">
      <c r="B5" s="13"/>
      <c r="I5" s="14"/>
    </row>
    <row r="6" spans="2:23" ht="19.5" customHeight="1">
      <c r="B6" s="13"/>
      <c r="C6" s="100" t="s">
        <v>49</v>
      </c>
      <c r="D6" s="100"/>
      <c r="E6" s="100"/>
      <c r="F6" s="100"/>
      <c r="G6" s="100"/>
      <c r="H6" s="100"/>
      <c r="I6" s="27"/>
    </row>
    <row r="7" spans="2:23">
      <c r="B7" s="13"/>
      <c r="I7" s="14"/>
      <c r="U7" s="1" t="s">
        <v>5</v>
      </c>
    </row>
    <row r="8" spans="2:23">
      <c r="B8" s="13"/>
      <c r="C8" s="21" t="s">
        <v>50</v>
      </c>
      <c r="D8" s="52">
        <v>44426</v>
      </c>
      <c r="E8"/>
      <c r="F8" s="31" t="s">
        <v>51</v>
      </c>
      <c r="G8" s="31" t="s">
        <v>52</v>
      </c>
      <c r="I8" s="14"/>
      <c r="U8" s="1" t="s">
        <v>7</v>
      </c>
    </row>
    <row r="9" spans="2:23">
      <c r="B9" s="13"/>
      <c r="E9"/>
      <c r="F9" s="18" t="s">
        <v>53</v>
      </c>
      <c r="G9" s="49">
        <v>1</v>
      </c>
      <c r="I9" s="14"/>
    </row>
    <row r="10" spans="2:23">
      <c r="B10" s="13"/>
      <c r="C10" s="21" t="s">
        <v>54</v>
      </c>
      <c r="D10" s="21" t="s">
        <v>30</v>
      </c>
      <c r="E10"/>
      <c r="F10" s="18" t="s">
        <v>55</v>
      </c>
      <c r="G10" s="49">
        <v>1</v>
      </c>
      <c r="I10" s="14"/>
    </row>
    <row r="11" spans="2:23">
      <c r="B11" s="13"/>
      <c r="C11" s="18" t="s">
        <v>56</v>
      </c>
      <c r="D11" s="49">
        <v>10</v>
      </c>
      <c r="E11"/>
      <c r="F11" s="18" t="s">
        <v>57</v>
      </c>
      <c r="G11" s="49">
        <v>1</v>
      </c>
      <c r="I11" s="14"/>
    </row>
    <row r="12" spans="2:23">
      <c r="B12" s="13"/>
      <c r="C12" s="18" t="s">
        <v>58</v>
      </c>
      <c r="D12" s="49">
        <v>10</v>
      </c>
      <c r="E12"/>
      <c r="F12" s="32" t="s">
        <v>59</v>
      </c>
      <c r="I12" s="14"/>
    </row>
    <row r="13" spans="2:23">
      <c r="B13" s="13"/>
      <c r="C13" s="18" t="s">
        <v>60</v>
      </c>
      <c r="D13" s="49">
        <v>0</v>
      </c>
      <c r="E13"/>
      <c r="F13" s="32" t="s">
        <v>61</v>
      </c>
      <c r="I13" s="14"/>
    </row>
    <row r="14" spans="2:23">
      <c r="B14" s="13"/>
      <c r="C14" s="32" t="s">
        <v>62</v>
      </c>
      <c r="E14"/>
      <c r="F14" s="22" t="s">
        <v>63</v>
      </c>
      <c r="G14" s="22" t="s">
        <v>30</v>
      </c>
      <c r="I14" s="14"/>
    </row>
    <row r="15" spans="2:23">
      <c r="B15" s="13"/>
      <c r="C15" s="21" t="s">
        <v>64</v>
      </c>
      <c r="D15" s="21" t="s">
        <v>30</v>
      </c>
      <c r="E15"/>
      <c r="F15" s="18" t="s">
        <v>65</v>
      </c>
      <c r="G15" s="49">
        <v>4</v>
      </c>
      <c r="I15" s="14"/>
    </row>
    <row r="16" spans="2:23">
      <c r="B16" s="13"/>
      <c r="C16" s="18" t="s">
        <v>66</v>
      </c>
      <c r="D16" s="49">
        <v>0</v>
      </c>
      <c r="E16"/>
      <c r="F16" s="18" t="s">
        <v>67</v>
      </c>
      <c r="G16" s="49">
        <v>3</v>
      </c>
      <c r="I16" s="14"/>
    </row>
    <row r="17" spans="2:9">
      <c r="B17" s="13"/>
      <c r="C17" s="18" t="s">
        <v>68</v>
      </c>
      <c r="D17" s="49">
        <v>0</v>
      </c>
      <c r="E17"/>
      <c r="F17" s="18" t="s">
        <v>69</v>
      </c>
      <c r="G17" s="49">
        <v>1</v>
      </c>
      <c r="I17" s="14"/>
    </row>
    <row r="18" spans="2:9">
      <c r="B18" s="13"/>
      <c r="C18" s="32" t="s">
        <v>70</v>
      </c>
      <c r="E18"/>
      <c r="F18" s="18" t="s">
        <v>71</v>
      </c>
      <c r="G18" s="49">
        <v>0</v>
      </c>
      <c r="I18" s="14"/>
    </row>
    <row r="19" spans="2:9">
      <c r="B19" s="13"/>
      <c r="E19"/>
      <c r="I19" s="14"/>
    </row>
    <row r="20" spans="2:9" ht="29.25" customHeight="1">
      <c r="B20" s="13"/>
      <c r="C20" s="43" t="s">
        <v>72</v>
      </c>
      <c r="D20" s="43" t="s">
        <v>30</v>
      </c>
      <c r="E20"/>
      <c r="F20" s="33" t="s">
        <v>73</v>
      </c>
      <c r="G20" s="33" t="s">
        <v>74</v>
      </c>
      <c r="H20" s="34" t="s">
        <v>75</v>
      </c>
      <c r="I20" s="14"/>
    </row>
    <row r="21" spans="2:9">
      <c r="B21" s="13"/>
      <c r="C21" s="58" t="s">
        <v>76</v>
      </c>
      <c r="D21" s="59">
        <v>13</v>
      </c>
      <c r="E21"/>
      <c r="F21" s="18" t="s">
        <v>77</v>
      </c>
      <c r="G21" s="49">
        <v>2</v>
      </c>
      <c r="H21" s="49">
        <v>0</v>
      </c>
      <c r="I21" s="14"/>
    </row>
    <row r="22" spans="2:9" ht="15" customHeight="1">
      <c r="B22" s="13"/>
      <c r="C22" s="58" t="s">
        <v>78</v>
      </c>
      <c r="D22" s="59">
        <v>0</v>
      </c>
      <c r="E22"/>
      <c r="F22" s="18" t="s">
        <v>79</v>
      </c>
      <c r="G22" s="49">
        <v>2</v>
      </c>
      <c r="H22" s="49">
        <v>2</v>
      </c>
      <c r="I22" s="14"/>
    </row>
    <row r="23" spans="2:9" ht="24.75">
      <c r="B23" s="13"/>
      <c r="C23" s="68" t="s">
        <v>80</v>
      </c>
      <c r="D23" s="68"/>
      <c r="E23"/>
      <c r="F23" s="18" t="s">
        <v>81</v>
      </c>
      <c r="G23" s="49">
        <v>0</v>
      </c>
      <c r="H23" s="49">
        <v>0</v>
      </c>
      <c r="I23" s="14"/>
    </row>
    <row r="24" spans="2:9">
      <c r="B24" s="13"/>
      <c r="E24"/>
      <c r="F24" s="18" t="s">
        <v>82</v>
      </c>
      <c r="G24" s="49">
        <v>0</v>
      </c>
      <c r="H24" s="49">
        <v>0</v>
      </c>
      <c r="I24" s="14"/>
    </row>
    <row r="25" spans="2:9" ht="30" customHeight="1">
      <c r="B25" s="13"/>
      <c r="C25" s="72" t="str">
        <f>"Seleccione "&amp;W3&amp;" procesos teminados en el  primer semestre de 2021 y llene la siguiente tabla:"</f>
        <v>Seleccione 0 procesos teminados en el  primer semestre de 2021 y llene la siguiente tabla:</v>
      </c>
      <c r="D25" s="65"/>
      <c r="E25"/>
      <c r="F25" s="101" t="s">
        <v>83</v>
      </c>
      <c r="G25" s="101"/>
      <c r="H25" s="101"/>
      <c r="I25" s="14"/>
    </row>
    <row r="26" spans="2:9" ht="15.75" thickBot="1">
      <c r="B26" s="13"/>
      <c r="C26" s="66"/>
      <c r="D26" s="67"/>
      <c r="E26"/>
      <c r="F26" s="60"/>
      <c r="I26" s="14"/>
    </row>
    <row r="27" spans="2:9" ht="15.75" thickBot="1">
      <c r="B27" s="13"/>
      <c r="C27" s="43" t="s">
        <v>84</v>
      </c>
      <c r="D27" s="43" t="s">
        <v>30</v>
      </c>
      <c r="E27"/>
      <c r="F27" s="97" t="s">
        <v>85</v>
      </c>
      <c r="G27" s="98"/>
      <c r="H27" s="99"/>
      <c r="I27" s="14"/>
    </row>
    <row r="28" spans="2:9">
      <c r="B28" s="13"/>
      <c r="C28" s="18" t="s">
        <v>86</v>
      </c>
      <c r="D28" s="49">
        <v>0</v>
      </c>
      <c r="E28"/>
      <c r="F28" s="88"/>
      <c r="G28" s="89"/>
      <c r="H28" s="90"/>
      <c r="I28" s="14"/>
    </row>
    <row r="29" spans="2:9">
      <c r="B29" s="13"/>
      <c r="C29" s="18" t="s">
        <v>87</v>
      </c>
      <c r="D29" s="49">
        <v>0</v>
      </c>
      <c r="E29"/>
      <c r="F29" s="91"/>
      <c r="G29" s="92"/>
      <c r="H29" s="93"/>
      <c r="I29" s="14"/>
    </row>
    <row r="30" spans="2:9">
      <c r="B30" s="13"/>
      <c r="C30" s="18" t="s">
        <v>88</v>
      </c>
      <c r="D30" s="49">
        <v>0</v>
      </c>
      <c r="E30"/>
      <c r="F30" s="91"/>
      <c r="G30" s="92"/>
      <c r="H30" s="93"/>
      <c r="I30" s="14"/>
    </row>
    <row r="31" spans="2:9">
      <c r="B31" s="13"/>
      <c r="C31" s="18" t="s">
        <v>89</v>
      </c>
      <c r="D31" s="49">
        <v>0</v>
      </c>
      <c r="E31"/>
      <c r="F31" s="91"/>
      <c r="G31" s="92"/>
      <c r="H31" s="93"/>
      <c r="I31" s="14"/>
    </row>
    <row r="32" spans="2:9">
      <c r="B32" s="13"/>
      <c r="C32" s="18" t="s">
        <v>90</v>
      </c>
      <c r="D32" s="49">
        <v>0</v>
      </c>
      <c r="E32"/>
      <c r="F32" s="91"/>
      <c r="G32" s="92"/>
      <c r="H32" s="93"/>
      <c r="I32" s="14"/>
    </row>
    <row r="33" spans="2:9" ht="15.75" thickBot="1">
      <c r="B33" s="13"/>
      <c r="E33"/>
      <c r="F33" s="94"/>
      <c r="G33" s="95"/>
      <c r="H33" s="96"/>
      <c r="I33" s="14"/>
    </row>
    <row r="34" spans="2:9" ht="15.75" thickBot="1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643015F8-9CCD-4076-9060-ADC116C40B4F}">
      <formula1>44378</formula1>
      <formula2>44439</formula2>
    </dataValidation>
  </dataValidations>
  <pageMargins left="0.7" right="0.7" top="0.75" bottom="0.75" header="0.3" footer="0.3"/>
  <pageSetup scale="66" orientation="landscape" r:id="rId1"/>
  <colBreaks count="1" manualBreakCount="1">
    <brk id="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view="pageBreakPreview" topLeftCell="E4" zoomScale="60" zoomScaleNormal="100" workbookViewId="0">
      <selection activeCell="G14" sqref="G14"/>
    </sheetView>
  </sheetViews>
  <sheetFormatPr defaultColWidth="11.42578125" defaultRowHeight="1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>
      <c r="B3" s="13"/>
      <c r="H3" s="14"/>
      <c r="V3" s="25">
        <f>+IF(V2&lt;=20,V2,IF(ROUNDDOWN(V2*10%,0)&lt;20,20,ROUNDDOWN(V2*10%,0)))</f>
        <v>0</v>
      </c>
    </row>
    <row r="4" spans="2:22">
      <c r="B4" s="13"/>
      <c r="H4" s="14"/>
    </row>
    <row r="5" spans="2:22">
      <c r="B5" s="13"/>
      <c r="H5" s="14"/>
    </row>
    <row r="6" spans="2:22" ht="15" customHeight="1">
      <c r="B6" s="13"/>
      <c r="G6" s="26"/>
      <c r="H6" s="27"/>
    </row>
    <row r="7" spans="2:22" ht="23.25">
      <c r="B7" s="13"/>
      <c r="C7" s="100" t="s">
        <v>91</v>
      </c>
      <c r="D7" s="100"/>
      <c r="E7" s="100"/>
      <c r="F7" s="100"/>
      <c r="G7" s="100"/>
      <c r="H7" s="27"/>
    </row>
    <row r="8" spans="2:22">
      <c r="B8" s="13"/>
      <c r="H8" s="14"/>
      <c r="T8" s="1" t="s">
        <v>5</v>
      </c>
    </row>
    <row r="9" spans="2:22" ht="15" customHeight="1">
      <c r="B9" s="13"/>
      <c r="C9" s="21" t="s">
        <v>92</v>
      </c>
      <c r="D9" s="21" t="s">
        <v>30</v>
      </c>
      <c r="E9"/>
      <c r="F9" s="84" t="str">
        <f>"Seleccione una muestra de "&amp;V3&amp;" prejudiciales activos registrados antes de 31 de diciembre de 2020 y complete la siguiente tabla"</f>
        <v>Seleccione una muestra de 0 prejudiciales activos registrados antes de 31 de diciembre de 2020 y complete la siguiente tabla</v>
      </c>
      <c r="G9" s="85"/>
      <c r="H9" s="14"/>
      <c r="T9" s="1" t="s">
        <v>7</v>
      </c>
    </row>
    <row r="10" spans="2:22">
      <c r="B10" s="13"/>
      <c r="C10" s="18" t="s">
        <v>93</v>
      </c>
      <c r="D10" s="49">
        <v>0</v>
      </c>
      <c r="E10"/>
      <c r="F10" s="86"/>
      <c r="G10" s="87"/>
      <c r="H10" s="14"/>
    </row>
    <row r="11" spans="2:22">
      <c r="B11" s="13"/>
      <c r="C11" s="18" t="s">
        <v>94</v>
      </c>
      <c r="D11" s="49">
        <v>0</v>
      </c>
      <c r="E11"/>
      <c r="F11" s="22" t="s">
        <v>72</v>
      </c>
      <c r="G11" s="22" t="s">
        <v>95</v>
      </c>
      <c r="H11" s="14"/>
    </row>
    <row r="12" spans="2:22">
      <c r="B12" s="13"/>
      <c r="C12" s="18" t="s">
        <v>96</v>
      </c>
      <c r="D12" s="49">
        <v>0</v>
      </c>
      <c r="E12"/>
      <c r="F12" s="30" t="s">
        <v>97</v>
      </c>
      <c r="G12" s="49">
        <v>0</v>
      </c>
      <c r="H12" s="14"/>
    </row>
    <row r="13" spans="2:22">
      <c r="B13" s="13"/>
      <c r="C13" s="18" t="s">
        <v>98</v>
      </c>
      <c r="D13" s="49">
        <v>0</v>
      </c>
      <c r="E13"/>
      <c r="F13" s="18" t="s">
        <v>99</v>
      </c>
      <c r="G13" s="49">
        <v>0</v>
      </c>
      <c r="H13" s="14"/>
    </row>
    <row r="14" spans="2:22">
      <c r="B14" s="13"/>
      <c r="C14" s="18" t="s">
        <v>100</v>
      </c>
      <c r="D14" s="49">
        <v>0</v>
      </c>
      <c r="E14"/>
      <c r="F14"/>
      <c r="G14"/>
      <c r="H14" s="14"/>
    </row>
    <row r="15" spans="2:22">
      <c r="B15" s="13"/>
      <c r="E15"/>
      <c r="F15"/>
      <c r="G15"/>
      <c r="H15" s="14"/>
    </row>
    <row r="16" spans="2:22" ht="15.75" thickBot="1">
      <c r="B16" s="13"/>
      <c r="C16" s="21" t="s">
        <v>101</v>
      </c>
      <c r="D16" s="21" t="s">
        <v>30</v>
      </c>
      <c r="E16"/>
      <c r="F16" s="102" t="s">
        <v>85</v>
      </c>
      <c r="G16" s="102"/>
      <c r="H16" s="14"/>
    </row>
    <row r="17" spans="2:8">
      <c r="B17" s="13"/>
      <c r="C17" s="18" t="s">
        <v>102</v>
      </c>
      <c r="D17" s="49">
        <v>0</v>
      </c>
      <c r="E17"/>
      <c r="F17" s="103"/>
      <c r="G17" s="104"/>
      <c r="H17" s="14"/>
    </row>
    <row r="18" spans="2:8">
      <c r="B18" s="13"/>
      <c r="C18" s="18" t="s">
        <v>103</v>
      </c>
      <c r="D18" s="49">
        <v>0</v>
      </c>
      <c r="E18"/>
      <c r="F18" s="105"/>
      <c r="G18" s="106"/>
      <c r="H18" s="14"/>
    </row>
    <row r="19" spans="2:8">
      <c r="B19" s="13"/>
      <c r="C19"/>
      <c r="D19"/>
      <c r="E19"/>
      <c r="F19" s="105"/>
      <c r="G19" s="106"/>
      <c r="H19" s="14"/>
    </row>
    <row r="20" spans="2:8">
      <c r="B20" s="13"/>
      <c r="C20"/>
      <c r="D20"/>
      <c r="E20"/>
      <c r="F20" s="105"/>
      <c r="G20" s="106"/>
      <c r="H20" s="14"/>
    </row>
    <row r="21" spans="2:8">
      <c r="B21" s="13"/>
      <c r="E21"/>
      <c r="F21" s="105"/>
      <c r="G21" s="106"/>
      <c r="H21" s="14"/>
    </row>
    <row r="22" spans="2:8" ht="15.75" thickBot="1">
      <c r="B22" s="13"/>
      <c r="E22"/>
      <c r="F22" s="107"/>
      <c r="G22" s="108"/>
      <c r="H22" s="14"/>
    </row>
    <row r="23" spans="2:8" ht="15.75" thickBot="1">
      <c r="B23" s="15"/>
      <c r="C23" s="16"/>
      <c r="D23" s="16"/>
      <c r="E23" s="16"/>
      <c r="F23" s="16"/>
      <c r="G23" s="16"/>
      <c r="H23" s="17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pageSetup scale="70" orientation="landscape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view="pageBreakPreview" topLeftCell="C4" zoomScale="60" zoomScaleNormal="100" workbookViewId="0">
      <selection activeCell="F22" sqref="F22"/>
    </sheetView>
  </sheetViews>
  <sheetFormatPr defaultColWidth="11.42578125" defaultRowHeight="1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+IF(D10&lt;=10,D10,IF(ROUNDDOWN(D10*10%,0)&gt;10,10,ROUNDDOWN(D10*10%,0)))</f>
        <v>0</v>
      </c>
    </row>
    <row r="4" spans="2:22">
      <c r="B4" s="13"/>
      <c r="H4" s="14"/>
    </row>
    <row r="5" spans="2:22">
      <c r="B5" s="13"/>
      <c r="H5" s="14"/>
    </row>
    <row r="6" spans="2:22" ht="36.75" customHeight="1">
      <c r="B6" s="13"/>
      <c r="C6" s="28" t="s">
        <v>104</v>
      </c>
      <c r="D6" s="29"/>
      <c r="E6" s="24"/>
      <c r="F6"/>
      <c r="G6"/>
      <c r="H6" s="27"/>
    </row>
    <row r="7" spans="2:22">
      <c r="B7" s="13"/>
      <c r="F7"/>
      <c r="G7"/>
      <c r="H7" s="14"/>
      <c r="T7" s="1" t="s">
        <v>5</v>
      </c>
    </row>
    <row r="8" spans="2:22">
      <c r="B8" s="13"/>
      <c r="C8" s="21" t="s">
        <v>104</v>
      </c>
      <c r="D8" s="21" t="s">
        <v>30</v>
      </c>
      <c r="E8"/>
      <c r="F8" s="21" t="s">
        <v>104</v>
      </c>
      <c r="G8" s="21" t="s">
        <v>30</v>
      </c>
      <c r="H8" s="14"/>
      <c r="T8" s="1" t="s">
        <v>7</v>
      </c>
    </row>
    <row r="9" spans="2:22">
      <c r="B9" s="13"/>
      <c r="C9" s="18" t="s">
        <v>105</v>
      </c>
      <c r="D9" s="49">
        <v>0</v>
      </c>
      <c r="E9"/>
      <c r="F9" s="18" t="s">
        <v>106</v>
      </c>
      <c r="G9" s="54">
        <v>0</v>
      </c>
      <c r="H9" s="14"/>
    </row>
    <row r="10" spans="2:22">
      <c r="B10" s="13"/>
      <c r="C10" s="18" t="s">
        <v>107</v>
      </c>
      <c r="D10" s="49">
        <v>0</v>
      </c>
      <c r="E10"/>
      <c r="F10" s="18" t="s">
        <v>108</v>
      </c>
      <c r="G10" s="54">
        <v>0</v>
      </c>
      <c r="H10" s="14"/>
    </row>
    <row r="11" spans="2:22">
      <c r="B11" s="13"/>
      <c r="D11" s="53"/>
      <c r="E11"/>
      <c r="G11" s="55"/>
      <c r="H11" s="14"/>
    </row>
    <row r="12" spans="2:22" ht="15.75" thickBot="1">
      <c r="B12" s="13"/>
      <c r="C12" s="56" t="s">
        <v>23</v>
      </c>
      <c r="D12" s="53"/>
      <c r="E12"/>
      <c r="G12" s="55"/>
      <c r="H12" s="14"/>
      <c r="T12" s="1">
        <f>IF(D9="",0,1)</f>
        <v>1</v>
      </c>
    </row>
    <row r="13" spans="2:22">
      <c r="B13" s="13"/>
      <c r="C13" s="109"/>
      <c r="D13" s="110"/>
      <c r="E13" s="110"/>
      <c r="F13" s="110"/>
      <c r="G13" s="111"/>
      <c r="H13" s="14"/>
    </row>
    <row r="14" spans="2:22">
      <c r="B14" s="13"/>
      <c r="C14" s="112"/>
      <c r="D14" s="113"/>
      <c r="E14" s="113"/>
      <c r="F14" s="113"/>
      <c r="G14" s="114"/>
      <c r="H14" s="14"/>
    </row>
    <row r="15" spans="2:22">
      <c r="B15" s="13"/>
      <c r="C15" s="112"/>
      <c r="D15" s="113"/>
      <c r="E15" s="113"/>
      <c r="F15" s="113"/>
      <c r="G15" s="114"/>
      <c r="H15" s="14"/>
    </row>
    <row r="16" spans="2:22" ht="15.75" thickBot="1">
      <c r="B16" s="13"/>
      <c r="C16" s="115"/>
      <c r="D16" s="116"/>
      <c r="E16" s="116"/>
      <c r="F16" s="116"/>
      <c r="G16" s="117"/>
      <c r="H16" s="14"/>
      <c r="T16" s="1">
        <f>IF(G9="",0,1)</f>
        <v>1</v>
      </c>
    </row>
    <row r="17" spans="2:20" ht="15.75" thickBot="1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scale="77" orientation="landscape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view="pageBreakPreview" zoomScale="60" zoomScaleNormal="100" workbookViewId="0">
      <selection activeCell="E14" sqref="E14"/>
    </sheetView>
  </sheetViews>
  <sheetFormatPr defaultColWidth="11.42578125" defaultRowHeight="1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/>
    <row r="2" spans="2:22">
      <c r="B2" s="10"/>
      <c r="C2" s="11"/>
      <c r="D2" s="11"/>
      <c r="E2" s="11"/>
      <c r="F2" s="11"/>
      <c r="G2" s="11"/>
      <c r="H2" s="12"/>
    </row>
    <row r="3" spans="2:22">
      <c r="B3" s="13"/>
      <c r="H3" s="14"/>
      <c r="V3" s="25">
        <f>+IF(D10&lt;=10,D10,IF(ROUNDDOWN(D10*10%,0)&gt;10,10,ROUNDDOWN(D10*10%,0)))</f>
        <v>0</v>
      </c>
    </row>
    <row r="4" spans="2:22">
      <c r="B4" s="13"/>
      <c r="H4" s="14"/>
    </row>
    <row r="5" spans="2:22">
      <c r="B5" s="13"/>
      <c r="H5" s="14"/>
    </row>
    <row r="6" spans="2:22" ht="21.75" customHeight="1">
      <c r="B6" s="13"/>
      <c r="C6" s="100" t="s">
        <v>109</v>
      </c>
      <c r="D6" s="100"/>
      <c r="E6" s="24"/>
      <c r="F6"/>
      <c r="G6"/>
      <c r="H6" s="27"/>
      <c r="T6" s="1" t="s">
        <v>4</v>
      </c>
    </row>
    <row r="7" spans="2:22" ht="15.75" thickBot="1">
      <c r="B7" s="13"/>
      <c r="F7" s="57" t="s">
        <v>23</v>
      </c>
      <c r="G7"/>
      <c r="H7" s="14"/>
      <c r="T7" s="1" t="s">
        <v>5</v>
      </c>
    </row>
    <row r="8" spans="2:22">
      <c r="B8" s="13"/>
      <c r="C8" s="21" t="s">
        <v>110</v>
      </c>
      <c r="D8" s="21" t="s">
        <v>30</v>
      </c>
      <c r="E8"/>
      <c r="F8" s="88"/>
      <c r="G8" s="90"/>
      <c r="H8" s="14"/>
      <c r="T8" s="1" t="s">
        <v>7</v>
      </c>
    </row>
    <row r="9" spans="2:22">
      <c r="B9" s="13"/>
      <c r="C9" s="18" t="s">
        <v>111</v>
      </c>
      <c r="D9" s="49" t="s">
        <v>5</v>
      </c>
      <c r="E9"/>
      <c r="F9" s="91"/>
      <c r="G9" s="93"/>
      <c r="H9" s="14"/>
    </row>
    <row r="10" spans="2:22" ht="15.75" thickBot="1">
      <c r="B10" s="13"/>
      <c r="C10" s="18" t="s">
        <v>112</v>
      </c>
      <c r="D10" s="49"/>
      <c r="E10"/>
      <c r="F10" s="94"/>
      <c r="G10" s="96"/>
      <c r="H10" s="14"/>
    </row>
    <row r="11" spans="2:22" ht="15.75" thickBot="1">
      <c r="B11" s="15"/>
      <c r="C11" s="16"/>
      <c r="D11" s="16"/>
      <c r="E11" s="16"/>
      <c r="F11" s="16"/>
      <c r="G11" s="16"/>
      <c r="H11" s="17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scale="82" orientation="landscape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tabSelected="1" view="pageBreakPreview" topLeftCell="A19" zoomScale="60" zoomScaleNormal="100" workbookViewId="0">
      <selection activeCell="L13" sqref="L13"/>
    </sheetView>
  </sheetViews>
  <sheetFormatPr defaultColWidth="11.42578125" defaultRowHeight="1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>
      <c r="B2" s="119" t="s">
        <v>113</v>
      </c>
      <c r="C2" s="119"/>
      <c r="D2" s="119"/>
      <c r="E2" s="119"/>
      <c r="F2" s="119"/>
      <c r="G2" s="119"/>
      <c r="H2" s="40"/>
      <c r="I2" s="40"/>
      <c r="J2" s="40"/>
      <c r="K2" s="40"/>
      <c r="L2" s="40"/>
      <c r="M2" s="41"/>
    </row>
    <row r="3" spans="2:13" ht="18.75">
      <c r="B3" s="119" t="s">
        <v>1</v>
      </c>
      <c r="C3" s="119"/>
      <c r="D3" s="119"/>
      <c r="E3" s="119"/>
      <c r="F3" s="119"/>
      <c r="G3" s="119"/>
      <c r="H3" s="40"/>
      <c r="I3" s="40"/>
      <c r="J3" s="40"/>
      <c r="K3" s="40"/>
      <c r="L3" s="40"/>
      <c r="M3" s="41"/>
    </row>
    <row r="4" spans="2:13" ht="23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>
      <c r="B5" t="s">
        <v>114</v>
      </c>
      <c r="C5" s="118" t="s">
        <v>115</v>
      </c>
      <c r="D5" s="118"/>
      <c r="E5" s="118"/>
      <c r="F5" s="118"/>
      <c r="G5" s="118"/>
    </row>
    <row r="6" spans="2:13">
      <c r="B6" t="s">
        <v>19</v>
      </c>
      <c r="C6" s="118" t="s">
        <v>20</v>
      </c>
      <c r="D6" s="118"/>
      <c r="E6" s="118"/>
      <c r="F6" s="118"/>
      <c r="G6" s="118"/>
    </row>
    <row r="8" spans="2:13">
      <c r="B8" t="s">
        <v>116</v>
      </c>
      <c r="C8" s="38" t="str">
        <f>+IF(SUM(USUARIOS!I12:J17)=0,"Falta diligenciar","")</f>
        <v/>
      </c>
      <c r="E8" t="s">
        <v>117</v>
      </c>
      <c r="F8" s="38" t="str">
        <f>+IF(PREJUDICIALES!$D$10="","Falta  actualizar","")</f>
        <v/>
      </c>
    </row>
    <row r="9" spans="2:13">
      <c r="B9" s="37" t="s">
        <v>118</v>
      </c>
      <c r="C9" s="39">
        <f>+SUM(USUARIOS!I12:I17)/(6-SUM(USUARIOS!H12:H17))</f>
        <v>1</v>
      </c>
      <c r="E9" s="37" t="s">
        <v>119</v>
      </c>
      <c r="F9" s="37">
        <f>+PREJUDICIALES!$D$11</f>
        <v>0</v>
      </c>
    </row>
    <row r="10" spans="2:13">
      <c r="B10" s="37" t="s">
        <v>120</v>
      </c>
      <c r="C10" s="37">
        <f>+ABOGADOS!$D$12+SUM(USUARIOS!I12:I17)</f>
        <v>10</v>
      </c>
      <c r="E10" s="37" t="s">
        <v>121</v>
      </c>
      <c r="F10" s="39" t="str">
        <f>IFERROR(PREJUDICIALES!$D$11/PREJUDICIALES!$D$10,"")</f>
        <v/>
      </c>
    </row>
    <row r="11" spans="2:13">
      <c r="B11" s="37" t="s">
        <v>122</v>
      </c>
      <c r="C11" s="61" t="s">
        <v>123</v>
      </c>
      <c r="E11" s="37" t="s">
        <v>124</v>
      </c>
      <c r="F11" s="39" t="str">
        <f>IFERROR(PREJUDICIALES!$G$13/PREJUDICIALES!$V$3,"")</f>
        <v/>
      </c>
    </row>
    <row r="12" spans="2:13">
      <c r="B12" s="37" t="s">
        <v>125</v>
      </c>
      <c r="C12" s="39">
        <f>IFERROR((ABOGADOS!$G$17+ABOGADOS!$G$18+ABOGADOS!$G$19*0.5)/ABOGADOS!D12,"")</f>
        <v>0.4</v>
      </c>
    </row>
    <row r="13" spans="2:13">
      <c r="E13" t="s">
        <v>104</v>
      </c>
      <c r="F13" s="38" t="str">
        <f>+IF(ARBITRAMENTOS!T17=0,"Falta  actualizar","")</f>
        <v/>
      </c>
    </row>
    <row r="14" spans="2:13">
      <c r="B14" t="s">
        <v>126</v>
      </c>
      <c r="C14" s="38" t="str">
        <f>+IF(JUDICIALES!$D$11="","Falta  actualizar","")</f>
        <v/>
      </c>
      <c r="E14" s="37" t="s">
        <v>127</v>
      </c>
      <c r="F14" s="37">
        <f>+ARBITRAMENTOS!D10</f>
        <v>0</v>
      </c>
    </row>
    <row r="15" spans="2:13">
      <c r="B15" s="37" t="s">
        <v>128</v>
      </c>
      <c r="C15" s="37">
        <f>+JUDICIALES!$D$12</f>
        <v>10</v>
      </c>
      <c r="E15" s="37" t="s">
        <v>121</v>
      </c>
      <c r="F15" s="39" t="str">
        <f>IFERROR(ARBITRAMENTOS!D10/ARBITRAMENTOS!D9,"")</f>
        <v/>
      </c>
    </row>
    <row r="16" spans="2:13">
      <c r="B16" s="37" t="s">
        <v>121</v>
      </c>
      <c r="C16" s="39">
        <f>IFERROR(JUDICIALES!$D$12/JUDICIALES!$D$11,"")</f>
        <v>1</v>
      </c>
    </row>
    <row r="17" spans="2:6">
      <c r="B17" s="37" t="s">
        <v>129</v>
      </c>
      <c r="C17" s="39">
        <f>IFERROR(JUDICIALES!$G$11/JUDICIALES!$G$10,"")</f>
        <v>1</v>
      </c>
      <c r="E17" t="s">
        <v>130</v>
      </c>
      <c r="F17" s="38" t="str">
        <f>+IF(PAGOS!D9="","Falta  actualizar","")</f>
        <v/>
      </c>
    </row>
    <row r="18" spans="2:6">
      <c r="B18" s="37" t="s">
        <v>131</v>
      </c>
      <c r="C18" s="37">
        <f>IFERROR(C15/ABOGADOS!$D$12,"")</f>
        <v>2</v>
      </c>
      <c r="E18" s="37" t="s">
        <v>132</v>
      </c>
      <c r="F18" s="37">
        <f>+PAGOS!D10</f>
        <v>0</v>
      </c>
    </row>
    <row r="19" spans="2:6">
      <c r="B19" s="37" t="s">
        <v>133</v>
      </c>
      <c r="C19" s="39">
        <f>IFERROR(1-(JUDICIALES!$H$22+JUDICIALES!$H$23+JUDICIALES!$H$24)/(JUDICIALES!$G$22+JUDICIALES!$G$23+JUDICIALES!$G$24),"")</f>
        <v>0</v>
      </c>
      <c r="E19" s="37" t="s">
        <v>134</v>
      </c>
      <c r="F19" s="37" t="str">
        <f>+IF(PAGOS!D9="No","No aplica","si")</f>
        <v>No aplica</v>
      </c>
    </row>
    <row r="21" spans="2:6" ht="15.75" thickBot="1"/>
    <row r="22" spans="2:6">
      <c r="B22" s="2" t="s">
        <v>23</v>
      </c>
      <c r="C22" s="3"/>
      <c r="D22" s="3"/>
      <c r="E22" s="3"/>
      <c r="F22" s="4"/>
    </row>
    <row r="23" spans="2:6">
      <c r="B23" s="105"/>
      <c r="C23" s="120"/>
      <c r="D23" s="120"/>
      <c r="E23" s="120"/>
      <c r="F23" s="106"/>
    </row>
    <row r="24" spans="2:6">
      <c r="B24" s="105"/>
      <c r="C24" s="120"/>
      <c r="D24" s="120"/>
      <c r="E24" s="120"/>
      <c r="F24" s="106"/>
    </row>
    <row r="25" spans="2:6">
      <c r="B25" s="105"/>
      <c r="C25" s="120"/>
      <c r="D25" s="120"/>
      <c r="E25" s="120"/>
      <c r="F25" s="106"/>
    </row>
    <row r="26" spans="2:6" ht="15.75" thickBot="1">
      <c r="B26" s="107"/>
      <c r="C26" s="121"/>
      <c r="D26" s="121"/>
      <c r="E26" s="121"/>
      <c r="F26" s="108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pageSetup scale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defaultColWidth="11.42578125" defaultRowHeight="15"/>
  <cols>
    <col min="1" max="1" width="34.42578125" customWidth="1"/>
    <col min="2" max="2" width="29.42578125" customWidth="1"/>
  </cols>
  <sheetData>
    <row r="2" spans="1:68">
      <c r="A2" t="s">
        <v>114</v>
      </c>
      <c r="B2" t="s">
        <v>135</v>
      </c>
      <c r="C2" t="s">
        <v>14</v>
      </c>
      <c r="D2" t="s">
        <v>16</v>
      </c>
      <c r="E2" t="s">
        <v>18</v>
      </c>
      <c r="F2" t="s">
        <v>19</v>
      </c>
      <c r="G2" t="s">
        <v>21</v>
      </c>
      <c r="H2" t="s">
        <v>22</v>
      </c>
      <c r="I2" t="s">
        <v>32</v>
      </c>
      <c r="J2" t="s">
        <v>34</v>
      </c>
      <c r="K2" t="s">
        <v>36</v>
      </c>
      <c r="L2" t="s">
        <v>38</v>
      </c>
      <c r="M2" t="s">
        <v>136</v>
      </c>
      <c r="N2" s="1" t="s">
        <v>137</v>
      </c>
      <c r="O2" s="18" t="s">
        <v>31</v>
      </c>
      <c r="P2" s="18" t="s">
        <v>33</v>
      </c>
      <c r="Q2" s="18" t="s">
        <v>35</v>
      </c>
      <c r="S2" t="s">
        <v>56</v>
      </c>
      <c r="T2" t="s">
        <v>58</v>
      </c>
      <c r="U2" t="s">
        <v>138</v>
      </c>
      <c r="V2" t="s">
        <v>139</v>
      </c>
      <c r="W2" t="s">
        <v>140</v>
      </c>
      <c r="X2" t="s">
        <v>141</v>
      </c>
      <c r="Y2" t="s">
        <v>142</v>
      </c>
      <c r="Z2" t="s">
        <v>53</v>
      </c>
      <c r="AA2" t="s">
        <v>55</v>
      </c>
      <c r="AB2" t="s">
        <v>143</v>
      </c>
      <c r="AC2" t="s">
        <v>144</v>
      </c>
      <c r="AD2" t="s">
        <v>145</v>
      </c>
      <c r="AE2" t="s">
        <v>146</v>
      </c>
      <c r="AF2" t="s">
        <v>71</v>
      </c>
      <c r="AG2" t="s">
        <v>77</v>
      </c>
      <c r="AH2" t="s">
        <v>79</v>
      </c>
      <c r="AI2" t="s">
        <v>81</v>
      </c>
      <c r="AJ2" t="s">
        <v>82</v>
      </c>
      <c r="AK2" t="s">
        <v>77</v>
      </c>
      <c r="AL2" t="s">
        <v>79</v>
      </c>
      <c r="AM2" t="s">
        <v>81</v>
      </c>
      <c r="AN2" t="s">
        <v>82</v>
      </c>
      <c r="AO2" t="s">
        <v>93</v>
      </c>
      <c r="AP2" t="s">
        <v>94</v>
      </c>
      <c r="AQ2" t="s">
        <v>147</v>
      </c>
      <c r="AR2" t="s">
        <v>148</v>
      </c>
      <c r="AS2" t="s">
        <v>149</v>
      </c>
      <c r="AT2" t="s">
        <v>150</v>
      </c>
      <c r="AU2" t="s">
        <v>151</v>
      </c>
      <c r="AV2" t="s">
        <v>97</v>
      </c>
      <c r="AW2" t="s">
        <v>99</v>
      </c>
      <c r="AX2" t="s">
        <v>152</v>
      </c>
      <c r="AY2" t="s">
        <v>107</v>
      </c>
      <c r="AZ2" s="1" t="s">
        <v>111</v>
      </c>
      <c r="BA2" s="1" t="s">
        <v>153</v>
      </c>
      <c r="BB2" s="71" t="s">
        <v>154</v>
      </c>
      <c r="BC2" s="71" t="s">
        <v>155</v>
      </c>
      <c r="BD2" s="71" t="s">
        <v>156</v>
      </c>
      <c r="BE2" t="s">
        <v>86</v>
      </c>
      <c r="BF2" t="s">
        <v>87</v>
      </c>
      <c r="BG2" t="s">
        <v>88</v>
      </c>
      <c r="BH2" t="s">
        <v>89</v>
      </c>
      <c r="BI2" t="s">
        <v>90</v>
      </c>
      <c r="BJ2" t="s">
        <v>157</v>
      </c>
      <c r="BK2" t="s">
        <v>158</v>
      </c>
      <c r="BL2" t="s">
        <v>159</v>
      </c>
      <c r="BM2" t="s">
        <v>160</v>
      </c>
      <c r="BN2" t="s">
        <v>161</v>
      </c>
      <c r="BO2" t="s">
        <v>162</v>
      </c>
      <c r="BP2" t="s">
        <v>163</v>
      </c>
    </row>
    <row r="3" spans="1:68">
      <c r="A3" t="str">
        <f>'Resumen general'!C5</f>
        <v>CANAL  REGIONAL TEVEANDINA LTDA. - CANAL TRECE</v>
      </c>
      <c r="B3" t="str">
        <f>'Resumen general'!C6</f>
        <v>YENIFFER LATORRE CASAS</v>
      </c>
      <c r="C3" t="str">
        <f>+USUARIOS!C12</f>
        <v>Si</v>
      </c>
      <c r="D3" t="str">
        <f>+USUARIOS!C13</f>
        <v>Si</v>
      </c>
      <c r="E3" t="str">
        <f>+USUARIOS!C14</f>
        <v>N/A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2</v>
      </c>
      <c r="J3">
        <f>+ABOGADOS!D12</f>
        <v>5</v>
      </c>
      <c r="K3">
        <f>+ABOGADOS!D13</f>
        <v>2</v>
      </c>
      <c r="L3">
        <f>+ABOGADOS!D14</f>
        <v>5</v>
      </c>
      <c r="M3">
        <f>+ABOGADOS!D17</f>
        <v>0</v>
      </c>
      <c r="N3">
        <f>+ABOGADOS!D18</f>
        <v>0</v>
      </c>
      <c r="O3">
        <f>+ABOGADOS!G10</f>
        <v>4</v>
      </c>
      <c r="P3">
        <f>+ABOGADOS!G11</f>
        <v>4</v>
      </c>
      <c r="Q3">
        <f>+ABOGADOS!G12</f>
        <v>3</v>
      </c>
      <c r="S3">
        <f>+JUDICIALES!D11</f>
        <v>10</v>
      </c>
      <c r="T3">
        <f>+JUDICIALES!D12</f>
        <v>10</v>
      </c>
      <c r="U3">
        <f>+JUDICIALES!D13</f>
        <v>0</v>
      </c>
      <c r="V3">
        <f>+JUDICIALES!D16</f>
        <v>0</v>
      </c>
      <c r="W3">
        <f>+JUDICIALES!D17</f>
        <v>0</v>
      </c>
      <c r="X3">
        <f>+JUDICIALES!D21</f>
        <v>13</v>
      </c>
      <c r="Y3">
        <f>+JUDICIALES!D22</f>
        <v>0</v>
      </c>
      <c r="Z3">
        <f>+JUDICIALES!G9</f>
        <v>1</v>
      </c>
      <c r="AA3">
        <f>+JUDICIALES!G10</f>
        <v>1</v>
      </c>
      <c r="AB3">
        <f>+JUDICIALES!G11</f>
        <v>1</v>
      </c>
      <c r="AC3">
        <f>+JUDICIALES!G15</f>
        <v>4</v>
      </c>
      <c r="AD3">
        <f>+JUDICIALES!G16</f>
        <v>3</v>
      </c>
      <c r="AE3">
        <f>+JUDICIALES!G17</f>
        <v>1</v>
      </c>
      <c r="AF3">
        <f>+JUDICIALES!G18</f>
        <v>0</v>
      </c>
      <c r="AG3">
        <f>+JUDICIALES!G21</f>
        <v>2</v>
      </c>
      <c r="AH3">
        <f>+JUDICIALES!G22</f>
        <v>2</v>
      </c>
      <c r="AI3">
        <f>+JUDICIALES!G23</f>
        <v>0</v>
      </c>
      <c r="AJ3">
        <f>+JUDICIALES!G24</f>
        <v>0</v>
      </c>
      <c r="AK3">
        <f>+JUDICIALES!H21</f>
        <v>0</v>
      </c>
      <c r="AL3">
        <f>+JUDICIALES!H22</f>
        <v>2</v>
      </c>
      <c r="AM3">
        <f>+JUDICIALES!H23</f>
        <v>0</v>
      </c>
      <c r="AN3">
        <f>+JUDICIALES!H24</f>
        <v>0</v>
      </c>
      <c r="AO3">
        <f>+PREJUDICIALES!D10</f>
        <v>0</v>
      </c>
      <c r="AP3">
        <f>+PREJUDICIALES!D11</f>
        <v>0</v>
      </c>
      <c r="AQ3">
        <f>+PREJUDICIALES!D12</f>
        <v>0</v>
      </c>
      <c r="AR3">
        <f>+PREJUDICIALES!D13</f>
        <v>0</v>
      </c>
      <c r="AS3">
        <f>+PREJUDICIALES!D14</f>
        <v>0</v>
      </c>
      <c r="AT3">
        <f>+PREJUDICIALES!D17</f>
        <v>0</v>
      </c>
      <c r="AU3">
        <f>+PREJUDICIALES!D18</f>
        <v>0</v>
      </c>
      <c r="AV3">
        <f>+PREJUDICIALES!G12</f>
        <v>0</v>
      </c>
      <c r="AW3">
        <f>+PREJUDICIALES!G13</f>
        <v>0</v>
      </c>
      <c r="AX3">
        <f>+ARBITRAMENTOS!D9</f>
        <v>0</v>
      </c>
      <c r="AY3">
        <f>+ARBITRAMENTOS!D10</f>
        <v>0</v>
      </c>
      <c r="AZ3" t="str">
        <f>+PAGOS!D9</f>
        <v>No</v>
      </c>
      <c r="BA3">
        <f>+PAGOS!D10</f>
        <v>0</v>
      </c>
      <c r="BB3" s="71">
        <f>USUARIOS!D9</f>
        <v>44426</v>
      </c>
      <c r="BC3" s="71">
        <f>ABOGADOS!D7</f>
        <v>44426</v>
      </c>
      <c r="BD3" s="71">
        <f>JUDICIALES!D8</f>
        <v>44426</v>
      </c>
      <c r="BE3">
        <f>JUDICIALES!D28</f>
        <v>0</v>
      </c>
      <c r="BF3">
        <f>JUDICIALES!D29</f>
        <v>0</v>
      </c>
      <c r="BG3">
        <f>JUDICIALES!D30</f>
        <v>0</v>
      </c>
      <c r="BH3">
        <f>JUDICIALES!D31</f>
        <v>0</v>
      </c>
      <c r="BI3">
        <f>JUDICIALES!D32</f>
        <v>0</v>
      </c>
      <c r="BJ3" t="str">
        <f>+USUARIOS!C19</f>
        <v>La administradora de la entidad manifesta que por parte de la ANDJE no se han ofrecido capacitaciones dirigidas al perfil de jefe financiero, por lo cual no se presenta certificación.</v>
      </c>
      <c r="BK3">
        <f>+ABOGADOS!C21</f>
        <v>0</v>
      </c>
      <c r="BL3">
        <f>+JUDICIALES!F28</f>
        <v>0</v>
      </c>
      <c r="BM3">
        <f>+PREJUDICIALES!F17</f>
        <v>0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>
      <c r="A12" t="s">
        <v>114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</row>
    <row r="13" spans="1:68">
      <c r="A13" t="str">
        <f t="shared" ref="A13:A18" si="0">$A$3</f>
        <v>CANAL  REGIONAL TEVEANDINA LTDA. - CANAL TRECE</v>
      </c>
      <c r="B13" t="s">
        <v>14</v>
      </c>
      <c r="C13" t="str">
        <f>USUARIOS!C12</f>
        <v>Si</v>
      </c>
      <c r="D13">
        <f>USUARIOS!D12</f>
        <v>44355</v>
      </c>
      <c r="E13" t="str">
        <f>USUARIOS!E12</f>
        <v>GUSTAVO DELGADO</v>
      </c>
      <c r="F13">
        <f>USUARIOS!F12</f>
        <v>0</v>
      </c>
      <c r="G13" t="str">
        <f>USUARIOS!G12</f>
        <v>DESACTUALIZADO</v>
      </c>
    </row>
    <row r="14" spans="1:68">
      <c r="A14" t="str">
        <f t="shared" si="0"/>
        <v>CANAL  REGIONAL TEVEANDINA LTDA. - CANAL TRECE</v>
      </c>
      <c r="B14" t="s">
        <v>16</v>
      </c>
      <c r="C14" t="str">
        <f>USUARIOS!C13</f>
        <v>Si</v>
      </c>
      <c r="D14">
        <f>USUARIOS!D13</f>
        <v>43592</v>
      </c>
      <c r="E14" t="str">
        <f>USUARIOS!E13</f>
        <v>MARIA FERNANDA CARRILLO MENDEZ</v>
      </c>
      <c r="F14">
        <f>USUARIOS!F13</f>
        <v>44391</v>
      </c>
      <c r="G14" t="str">
        <f>USUARIOS!G13</f>
        <v/>
      </c>
    </row>
    <row r="15" spans="1:68">
      <c r="A15" t="str">
        <f t="shared" si="0"/>
        <v>CANAL  REGIONAL TEVEANDINA LTDA. - CANAL TRECE</v>
      </c>
      <c r="B15" t="s">
        <v>18</v>
      </c>
      <c r="C15" t="str">
        <f>USUARIOS!C14</f>
        <v>N/A</v>
      </c>
      <c r="D15">
        <f>USUARIOS!D14</f>
        <v>0</v>
      </c>
      <c r="E15">
        <f>USUARIOS!E14</f>
        <v>0</v>
      </c>
      <c r="F15">
        <f>USUARIOS!F14</f>
        <v>0</v>
      </c>
      <c r="G15" t="str">
        <f>USUARIOS!G14</f>
        <v/>
      </c>
    </row>
    <row r="16" spans="1:68">
      <c r="A16" t="str">
        <f t="shared" si="0"/>
        <v>CANAL  REGIONAL TEVEANDINA LTDA. - CANAL TRECE</v>
      </c>
      <c r="B16" t="s">
        <v>19</v>
      </c>
      <c r="C16" t="str">
        <f>USUARIOS!C15</f>
        <v>Si</v>
      </c>
      <c r="D16">
        <f>USUARIOS!D15</f>
        <v>42580</v>
      </c>
      <c r="E16" t="str">
        <f>USUARIOS!E15</f>
        <v>YENIFFER LATORRE CASAS</v>
      </c>
      <c r="F16">
        <f>USUARIOS!F15</f>
        <v>44398</v>
      </c>
      <c r="G16" t="str">
        <f>USUARIOS!G15</f>
        <v/>
      </c>
    </row>
    <row r="17" spans="1:7">
      <c r="A17" t="str">
        <f t="shared" si="0"/>
        <v>CANAL  REGIONAL TEVEANDINA LTDA. - CANAL TRECE</v>
      </c>
      <c r="B17" t="s">
        <v>21</v>
      </c>
      <c r="C17" t="str">
        <f>USUARIOS!C16</f>
        <v>Si</v>
      </c>
      <c r="D17">
        <f>USUARIOS!D16</f>
        <v>43592</v>
      </c>
      <c r="E17" t="str">
        <f>USUARIOS!E16</f>
        <v>MARIA FERNANDA CARRILLO MENDEZ</v>
      </c>
      <c r="F17">
        <f>USUARIOS!F16</f>
        <v>44391</v>
      </c>
      <c r="G17" t="str">
        <f>USUARIOS!G16</f>
        <v/>
      </c>
    </row>
    <row r="18" spans="1:7">
      <c r="A18" t="str">
        <f t="shared" si="0"/>
        <v>CANAL  REGIONAL TEVEANDINA LTDA. - CANAL TRECE</v>
      </c>
      <c r="B18" t="s">
        <v>22</v>
      </c>
      <c r="C18" t="str">
        <f>USUARIOS!C17</f>
        <v>Si</v>
      </c>
      <c r="D18">
        <f>USUARIOS!D17</f>
        <v>43521</v>
      </c>
      <c r="E18" t="str">
        <f>USUARIOS!E17</f>
        <v>MARIA FERNANDA CARRILLO MENDEZ</v>
      </c>
      <c r="F18">
        <f>USUARIOS!F17</f>
        <v>44391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Garzón Peraza</dc:creator>
  <cp:keywords/>
  <dc:description/>
  <cp:lastModifiedBy>Usuario invitado</cp:lastModifiedBy>
  <cp:revision/>
  <dcterms:created xsi:type="dcterms:W3CDTF">2020-06-25T21:16:25Z</dcterms:created>
  <dcterms:modified xsi:type="dcterms:W3CDTF">2022-03-15T16:37:34Z</dcterms:modified>
  <cp:category/>
  <cp:contentStatus/>
</cp:coreProperties>
</file>